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0695" windowHeight="7005"/>
  </bookViews>
  <sheets>
    <sheet name="Sheet 1" sheetId="1" r:id="rId1"/>
    <sheet name="Chk" sheetId="3" r:id="rId2"/>
  </sheets>
  <calcPr calcId="162913"/>
</workbook>
</file>

<file path=xl/calcChain.xml><?xml version="1.0" encoding="utf-8"?>
<calcChain xmlns="http://schemas.openxmlformats.org/spreadsheetml/2006/main">
  <c r="I40" i="1" l="1"/>
  <c r="H40" i="1"/>
  <c r="I38" i="1"/>
  <c r="H38" i="1"/>
  <c r="I34" i="1"/>
  <c r="I32" i="1"/>
  <c r="H32" i="1"/>
  <c r="H34" i="1" s="1"/>
  <c r="C41" i="1"/>
  <c r="B41" i="1"/>
  <c r="C38" i="1"/>
  <c r="B38" i="1"/>
  <c r="B37" i="1"/>
  <c r="C32" i="1"/>
  <c r="B32" i="1"/>
  <c r="I12" i="1"/>
  <c r="H12" i="1"/>
  <c r="I13" i="1"/>
  <c r="H13" i="1"/>
  <c r="I10" i="1"/>
  <c r="H10" i="1"/>
  <c r="H41" i="1"/>
  <c r="H39" i="1"/>
  <c r="H35" i="1"/>
  <c r="H33" i="1"/>
  <c r="I41" i="1"/>
  <c r="I39" i="1"/>
  <c r="I35" i="1"/>
  <c r="I33" i="1"/>
  <c r="C37" i="1"/>
  <c r="C21" i="1" l="1"/>
  <c r="C19" i="1"/>
  <c r="C7" i="1"/>
  <c r="C6" i="1"/>
  <c r="C10" i="1"/>
  <c r="B19" i="1"/>
  <c r="B13" i="1"/>
  <c r="B7" i="1"/>
  <c r="B6" i="1"/>
  <c r="B10"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<sst xmlns="http://schemas.openxmlformats.org/spreadsheetml/2006/main" count="136" uniqueCount="100">
  <si>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</si>
  <si>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</si>
  <si>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</si>
  <si>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</si>
  <si>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</si>
  <si>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</si>
  <si>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</si>
  <si>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</si>
  <si>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</si>
  <si>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</si>
  <si>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</si>
  <si>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</si>
  <si>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</si>
  <si>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</si>
  <si>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</si>
  <si>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</si>
  <si>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</si>
  <si>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</si>
  <si>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</si>
  <si>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</si>
  <si>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</si>
  <si>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</si>
  <si>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</si>
  <si>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</si>
  <si>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</si>
  <si>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</si>
  <si>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</si>
  <si>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</si>
  <si>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</si>
  <si>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</si>
  <si>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</si>
  <si>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</si>
  <si>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</si>
  <si>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</si>
  <si>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</si>
  <si>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</si>
  <si>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</si>
  <si>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</si>
  <si>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</si>
  <si>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</si>
  <si>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</si>
  <si>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</si>
  <si>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</si>
  <si>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</si>
  <si>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</si>
  <si>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</si>
  <si>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</si>
  <si>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</si>
  <si>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</si>
  <si>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</si>
  <si>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</si>
  <si>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</si>
  <si>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</si>
  <si>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</si>
  <si>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</si>
  <si>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</si>
  <si>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</si>
  <si>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</si>
  <si>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</si>
  <si>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</si>
  <si>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</si>
  <si>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</si>
  <si>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</si>
  <si>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</si>
  <si>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</si>
  <si>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</si>
  <si>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</si>
  <si>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</si>
  <si>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</si>
  <si>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</si>
  <si>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</si>
  <si>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</si>
  <si>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</si>
  <si>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Kelley Business***</t>
  </si>
  <si>
    <t>Medicine***</t>
  </si>
  <si>
    <t>#Students enrolled at multiple campuses are counted twice at this time. Credits are not affected.</t>
  </si>
  <si>
    <t>***Totals include enrollment in Winter 2017 and Winter 2018 terms.  In Winter 2017, Kelley had 84 Graduate and 10 non-degree students taking 635 hours. Medicine had one graduate student enrolled in 4.5 hours.  In Winter 2018, Kelley had 82 Graduate and 23 non-degree students enrolled in 635.5 hours.</t>
  </si>
  <si>
    <t>1/8/2018</t>
  </si>
  <si>
    <t>1/7/2019</t>
  </si>
  <si>
    <t>Office of Institutional Research and Decision Support 1/7/2019</t>
  </si>
  <si>
    <t>+6 ug; -9 grad/prof; -2 non-degree</t>
  </si>
  <si>
    <t>1/7/2019 First Day</t>
  </si>
  <si>
    <t>-44 ug; -31 grad; -8 non-degree</t>
  </si>
  <si>
    <t>-25 ug; +10 grad;-1 non-degree</t>
  </si>
  <si>
    <t>-25 ug; -9 grad</t>
  </si>
  <si>
    <t>-2 ug; -7 grad; -1 non-degree</t>
  </si>
  <si>
    <t>+28 ug; +28 grad; +11 non-degree</t>
  </si>
  <si>
    <t>+19 grad/prof</t>
  </si>
  <si>
    <t>+26 ug; +44 grad/prof; +2 non-degree</t>
  </si>
  <si>
    <t>-6 ug; +11 grad</t>
  </si>
  <si>
    <t>-32 ug; -57 grad</t>
  </si>
  <si>
    <t>+31 ug; +25 grad/prof</t>
  </si>
  <si>
    <t>+37 ug; -21 grad; -21 non-degree</t>
  </si>
  <si>
    <t>+22 ug; +47 grad; +0 non-degree</t>
  </si>
  <si>
    <t>-11 non-degree</t>
  </si>
  <si>
    <t>+6 ug; +93 grad/prof</t>
  </si>
  <si>
    <t>-76 ug; -12 grad; -31 non-degree</t>
  </si>
  <si>
    <t>-542 ug; +7 hs; -33 non-degree</t>
  </si>
  <si>
    <t>+18 non-degree</t>
  </si>
  <si>
    <t>+68 ug; -40 grad; +11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</si>
</sst>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5">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164" fontId="30"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31" fillId="5" borderId="10" xfId="0" applyNumberFormat="1" applyFont="1" applyFill="1" applyBorder="1" applyAlignment="1">
      <alignment horizontal="center" wrapText="1"/>
    </xf>
    <xf numFmtId="164" fontId="31" fillId="5" borderId="2"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164" fontId="32" fillId="0" borderId="7"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49" fontId="4" fillId="0" borderId="9" xfId="0" applyNumberFormat="1" applyFont="1" applyBorder="1"/>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xf numFmtId="3" fontId="14" fillId="2" borderId="9"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3" fontId="32" fillId="3" borderId="9" xfId="0" applyNumberFormat="1" applyFont="1" applyFill="1" applyBorder="1" applyAlignment="1">
      <alignment horizontal="center" vertical="center" wrapText="1"/>
    </xf>
    <xf numFmtId="0" fontId="4" fillId="0" borderId="43" xfId="0" applyFont="1" applyBorder="1" applyAlignment="1">
      <alignment vertical="top" wrapText="1"/>
    </xf>
    <xf numFmtId="0" fontId="4" fillId="0" borderId="0" xfId="0" applyFont="1" applyAlignment="1">
      <alignment vertical="top" wrapText="1"/>
    </xf>
    <xf numFmtId="0" fontId="1" fillId="3" borderId="17" xfId="0" applyFont="1" applyFill="1" applyBorder="1" applyAlignment="1"/>
    <xf numFmtId="0" fontId="1" fillId="3" borderId="5" xfId="0" applyFont="1" applyFill="1" applyBorder="1" applyAlignment="1"/>
    <xf numFmtId="0" fontId="21" fillId="0" borderId="4" xfId="0" applyFont="1" applyBorder="1" applyAlignment="1">
      <alignment wrapText="1"/>
    </xf>
    <xf numFmtId="0" fontId="21" fillId="0" borderId="9" xfId="0" applyFont="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49" fontId="4" fillId="0" borderId="44"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22" sqref="G22"/>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70</v>
      </c>
      <c r="B1" s="194" t="s">
        <v>33</v>
      </c>
      <c r="C1" s="195"/>
      <c r="D1" s="195"/>
      <c r="E1" s="6"/>
      <c r="F1" s="14"/>
      <c r="G1" s="204" t="s">
        <v>81</v>
      </c>
      <c r="H1" s="205"/>
      <c r="I1" s="205"/>
      <c r="J1" s="205"/>
      <c r="K1" s="205"/>
      <c r="L1" s="205"/>
    </row>
    <row r="2" spans="1:12" s="3" customFormat="1" ht="16.5" customHeight="1" thickBot="1" x14ac:dyDescent="0.3">
      <c r="A2" s="196" t="s">
        <v>4</v>
      </c>
      <c r="B2" s="197"/>
      <c r="C2" s="197"/>
      <c r="D2" s="63"/>
      <c r="E2" s="63"/>
      <c r="F2" s="15"/>
      <c r="G2" s="198" t="s">
        <v>5</v>
      </c>
      <c r="H2" s="197"/>
      <c r="I2" s="197"/>
      <c r="J2" s="197"/>
      <c r="K2" s="74"/>
      <c r="L2" s="75"/>
    </row>
    <row r="3" spans="1:12" s="1" customFormat="1" ht="15.75" thickBot="1" x14ac:dyDescent="0.3">
      <c r="A3" s="57" t="s">
        <v>2</v>
      </c>
      <c r="B3" s="58" t="s">
        <v>77</v>
      </c>
      <c r="C3" s="58" t="s">
        <v>78</v>
      </c>
      <c r="D3" s="62" t="s">
        <v>0</v>
      </c>
      <c r="E3" s="60" t="s">
        <v>1</v>
      </c>
      <c r="F3" s="50"/>
      <c r="G3" s="57" t="s">
        <v>2</v>
      </c>
      <c r="H3" s="58" t="s">
        <v>77</v>
      </c>
      <c r="I3" s="58" t="s">
        <v>78</v>
      </c>
      <c r="J3" s="59" t="s">
        <v>0</v>
      </c>
      <c r="K3" s="60" t="s">
        <v>1</v>
      </c>
      <c r="L3" s="22" t="s">
        <v>37</v>
      </c>
    </row>
    <row r="4" spans="1:12" ht="15" x14ac:dyDescent="0.25">
      <c r="A4" s="61" t="s">
        <v>20</v>
      </c>
      <c r="B4" s="64">
        <v>10615</v>
      </c>
      <c r="C4" s="64">
        <v>10535.5</v>
      </c>
      <c r="D4" s="151">
        <f t="shared" ref="D4:D23" si="0">C4-B4</f>
        <v>-79.5</v>
      </c>
      <c r="E4" s="82">
        <f t="shared" ref="E4:E21" si="1">D4/B4</f>
        <v>-7.4894017899199243E-3</v>
      </c>
      <c r="F4" s="23"/>
      <c r="G4" s="56" t="s">
        <v>20</v>
      </c>
      <c r="H4" s="55">
        <v>645</v>
      </c>
      <c r="I4" s="55">
        <v>640</v>
      </c>
      <c r="J4" s="152">
        <f>I4-H4</f>
        <v>-5</v>
      </c>
      <c r="K4" s="153">
        <f>J4/H4</f>
        <v>-7.7519379844961239E-3</v>
      </c>
      <c r="L4" s="117" t="s">
        <v>80</v>
      </c>
    </row>
    <row r="5" spans="1:12" ht="15" x14ac:dyDescent="0.25">
      <c r="A5" s="24" t="s">
        <v>21</v>
      </c>
      <c r="B5" s="64">
        <v>9195</v>
      </c>
      <c r="C5" s="64">
        <v>8786.5</v>
      </c>
      <c r="D5" s="128">
        <f t="shared" si="0"/>
        <v>-408.5</v>
      </c>
      <c r="E5" s="83">
        <f t="shared" si="1"/>
        <v>-4.4426318651440998E-2</v>
      </c>
      <c r="F5" s="23"/>
      <c r="G5" s="18" t="s">
        <v>21</v>
      </c>
      <c r="H5" s="55">
        <v>918</v>
      </c>
      <c r="I5" s="55">
        <v>835</v>
      </c>
      <c r="J5" s="76">
        <f t="shared" ref="J5:J27" si="2">I5-H5</f>
        <v>-83</v>
      </c>
      <c r="K5" s="79">
        <f t="shared" ref="K5:K27" si="3">J5/H5</f>
        <v>-9.0413943355119819E-2</v>
      </c>
      <c r="L5" s="117" t="s">
        <v>82</v>
      </c>
    </row>
    <row r="6" spans="1:12" ht="15" x14ac:dyDescent="0.25">
      <c r="A6" s="24" t="s">
        <v>25</v>
      </c>
      <c r="B6" s="64">
        <f>11436+19434</f>
        <v>30870</v>
      </c>
      <c r="C6" s="64">
        <f>12020+18422</f>
        <v>30442</v>
      </c>
      <c r="D6" s="128">
        <f t="shared" si="0"/>
        <v>-428</v>
      </c>
      <c r="E6" s="83">
        <f t="shared" si="1"/>
        <v>-1.3864593456430192E-2</v>
      </c>
      <c r="F6" s="23"/>
      <c r="G6" s="18" t="s">
        <v>25</v>
      </c>
      <c r="H6" s="55">
        <v>2940</v>
      </c>
      <c r="I6" s="55">
        <v>2924</v>
      </c>
      <c r="J6" s="76">
        <f t="shared" si="2"/>
        <v>-16</v>
      </c>
      <c r="K6" s="79">
        <f t="shared" si="3"/>
        <v>-5.4421768707482989E-3</v>
      </c>
      <c r="L6" s="118" t="s">
        <v>83</v>
      </c>
    </row>
    <row r="7" spans="1:12" ht="15.75" customHeight="1" x14ac:dyDescent="0.25">
      <c r="A7" s="24" t="s">
        <v>49</v>
      </c>
      <c r="B7" s="64">
        <f>17137+8169.5</f>
        <v>25306.5</v>
      </c>
      <c r="C7" s="64">
        <f>42+24814</f>
        <v>24856</v>
      </c>
      <c r="D7" s="128">
        <f t="shared" si="0"/>
        <v>-450.5</v>
      </c>
      <c r="E7" s="83">
        <f t="shared" si="1"/>
        <v>-1.7801750538399226E-2</v>
      </c>
      <c r="F7" s="23"/>
      <c r="G7" s="24" t="s">
        <v>49</v>
      </c>
      <c r="H7" s="55">
        <v>1667</v>
      </c>
      <c r="I7" s="55">
        <v>1633</v>
      </c>
      <c r="J7" s="144">
        <f t="shared" si="2"/>
        <v>-34</v>
      </c>
      <c r="K7" s="145">
        <f t="shared" si="3"/>
        <v>-2.0395920815836834E-2</v>
      </c>
      <c r="L7" s="118" t="s">
        <v>84</v>
      </c>
    </row>
    <row r="8" spans="1:12" ht="15" x14ac:dyDescent="0.25">
      <c r="A8" s="24" t="s">
        <v>36</v>
      </c>
      <c r="B8" s="64">
        <v>9395.5</v>
      </c>
      <c r="C8" s="64">
        <v>9347.5</v>
      </c>
      <c r="D8" s="128">
        <f t="shared" si="0"/>
        <v>-48</v>
      </c>
      <c r="E8" s="83">
        <f t="shared" si="1"/>
        <v>-5.1088286945878345E-3</v>
      </c>
      <c r="F8" s="23"/>
      <c r="G8" s="18" t="s">
        <v>36</v>
      </c>
      <c r="H8" s="55">
        <v>681</v>
      </c>
      <c r="I8" s="55">
        <v>671</v>
      </c>
      <c r="J8" s="76">
        <f t="shared" si="2"/>
        <v>-10</v>
      </c>
      <c r="K8" s="79">
        <f t="shared" si="3"/>
        <v>-1.4684287812041116E-2</v>
      </c>
      <c r="L8" s="118" t="s">
        <v>85</v>
      </c>
    </row>
    <row r="9" spans="1:12" ht="15" x14ac:dyDescent="0.25">
      <c r="A9" s="24" t="s">
        <v>47</v>
      </c>
      <c r="B9" s="64">
        <v>13019</v>
      </c>
      <c r="C9" s="64">
        <v>12897</v>
      </c>
      <c r="D9" s="128">
        <f t="shared" si="0"/>
        <v>-122</v>
      </c>
      <c r="E9" s="83">
        <f t="shared" si="1"/>
        <v>-9.3709194254551036E-3</v>
      </c>
      <c r="F9" s="23"/>
      <c r="G9" s="24" t="s">
        <v>47</v>
      </c>
      <c r="H9" s="55">
        <v>1223</v>
      </c>
      <c r="I9" s="55">
        <v>1290</v>
      </c>
      <c r="J9" s="77">
        <f t="shared" si="2"/>
        <v>67</v>
      </c>
      <c r="K9" s="80">
        <f t="shared" si="3"/>
        <v>5.4783319705641861E-2</v>
      </c>
      <c r="L9" s="118" t="s">
        <v>86</v>
      </c>
    </row>
    <row r="10" spans="1:12" ht="15" x14ac:dyDescent="0.25">
      <c r="A10" s="24" t="s">
        <v>73</v>
      </c>
      <c r="B10" s="64">
        <f>635+22370.5</f>
        <v>23005.5</v>
      </c>
      <c r="C10" s="64">
        <f>635.5+21260.5</f>
        <v>21896</v>
      </c>
      <c r="D10" s="164">
        <f t="shared" si="0"/>
        <v>-1109.5</v>
      </c>
      <c r="E10" s="165">
        <f t="shared" si="1"/>
        <v>-4.822759774836452E-2</v>
      </c>
      <c r="F10" s="23"/>
      <c r="G10" s="18" t="s">
        <v>73</v>
      </c>
      <c r="H10" s="55">
        <f>94+1466</f>
        <v>1560</v>
      </c>
      <c r="I10" s="55">
        <f>105+1494</f>
        <v>1599</v>
      </c>
      <c r="J10" s="147">
        <f t="shared" si="2"/>
        <v>39</v>
      </c>
      <c r="K10" s="148">
        <f t="shared" si="3"/>
        <v>2.5000000000000001E-2</v>
      </c>
      <c r="L10" s="118" t="s">
        <v>99</v>
      </c>
    </row>
    <row r="11" spans="1:12" ht="14.25" customHeight="1" x14ac:dyDescent="0.25">
      <c r="A11" s="24" t="s">
        <v>34</v>
      </c>
      <c r="B11" s="64">
        <v>9787.5</v>
      </c>
      <c r="C11" s="64">
        <v>10041.5</v>
      </c>
      <c r="D11" s="78">
        <f t="shared" si="0"/>
        <v>254</v>
      </c>
      <c r="E11" s="81">
        <f t="shared" si="1"/>
        <v>2.5951468710089399E-2</v>
      </c>
      <c r="F11" s="23"/>
      <c r="G11" s="18" t="s">
        <v>34</v>
      </c>
      <c r="H11" s="55">
        <v>808</v>
      </c>
      <c r="I11" s="55">
        <v>827</v>
      </c>
      <c r="J11" s="77">
        <f t="shared" si="2"/>
        <v>19</v>
      </c>
      <c r="K11" s="80">
        <f t="shared" si="3"/>
        <v>2.3514851485148515E-2</v>
      </c>
      <c r="L11" s="118" t="s">
        <v>87</v>
      </c>
    </row>
    <row r="12" spans="1:12" ht="15" x14ac:dyDescent="0.25">
      <c r="A12" s="24" t="s">
        <v>48</v>
      </c>
      <c r="B12" s="64">
        <v>50730</v>
      </c>
      <c r="C12" s="64">
        <v>48018</v>
      </c>
      <c r="D12" s="128">
        <f t="shared" si="0"/>
        <v>-2712</v>
      </c>
      <c r="E12" s="83">
        <f t="shared" si="1"/>
        <v>-5.3459491425192192E-2</v>
      </c>
      <c r="F12" s="23"/>
      <c r="G12" s="18" t="s">
        <v>48</v>
      </c>
      <c r="H12" s="55">
        <f>1950+(1+27+5+3)</f>
        <v>1986</v>
      </c>
      <c r="I12" s="55">
        <f>1827+(1+33+4+2)</f>
        <v>1867</v>
      </c>
      <c r="J12" s="144">
        <f t="shared" si="2"/>
        <v>-119</v>
      </c>
      <c r="K12" s="145">
        <f t="shared" si="3"/>
        <v>-5.9919436052366569E-2</v>
      </c>
      <c r="L12" s="118" t="s">
        <v>96</v>
      </c>
    </row>
    <row r="13" spans="1:12" ht="15" customHeight="1" x14ac:dyDescent="0.25">
      <c r="A13" s="24" t="s">
        <v>74</v>
      </c>
      <c r="B13" s="64">
        <f>4.5+32361</f>
        <v>32365.5</v>
      </c>
      <c r="C13" s="64">
        <v>34985</v>
      </c>
      <c r="D13" s="78">
        <f t="shared" si="0"/>
        <v>2619.5</v>
      </c>
      <c r="E13" s="81">
        <f t="shared" si="1"/>
        <v>8.0934946161808102E-2</v>
      </c>
      <c r="F13" s="23"/>
      <c r="G13" s="18" t="s">
        <v>39</v>
      </c>
      <c r="H13" s="55">
        <f>1+1883+(2+17+19+5+1)</f>
        <v>1928</v>
      </c>
      <c r="I13" s="55">
        <f>1961+(5+19+38+4)</f>
        <v>2027</v>
      </c>
      <c r="J13" s="147">
        <f t="shared" si="2"/>
        <v>99</v>
      </c>
      <c r="K13" s="148">
        <f t="shared" si="3"/>
        <v>5.1348547717842322E-2</v>
      </c>
      <c r="L13" s="119" t="s">
        <v>95</v>
      </c>
    </row>
    <row r="14" spans="1:12" ht="14.25" customHeight="1" x14ac:dyDescent="0.25">
      <c r="A14" s="24" t="s">
        <v>22</v>
      </c>
      <c r="B14" s="64">
        <v>11838</v>
      </c>
      <c r="C14" s="64">
        <v>12431</v>
      </c>
      <c r="D14" s="78">
        <f t="shared" si="0"/>
        <v>593</v>
      </c>
      <c r="E14" s="81">
        <f t="shared" si="1"/>
        <v>5.0092921101537423E-2</v>
      </c>
      <c r="F14" s="23"/>
      <c r="G14" s="18" t="s">
        <v>22</v>
      </c>
      <c r="H14" s="55">
        <v>1188</v>
      </c>
      <c r="I14" s="55">
        <v>1260</v>
      </c>
      <c r="J14" s="77">
        <f t="shared" si="2"/>
        <v>72</v>
      </c>
      <c r="K14" s="80">
        <f t="shared" si="3"/>
        <v>6.0606060606060608E-2</v>
      </c>
      <c r="L14" s="119" t="s">
        <v>88</v>
      </c>
    </row>
    <row r="15" spans="1:12" ht="15" x14ac:dyDescent="0.25">
      <c r="A15" s="24" t="s">
        <v>41</v>
      </c>
      <c r="B15" s="64">
        <v>1346</v>
      </c>
      <c r="C15" s="64">
        <v>1495</v>
      </c>
      <c r="D15" s="78">
        <f t="shared" si="0"/>
        <v>149</v>
      </c>
      <c r="E15" s="81">
        <f t="shared" si="1"/>
        <v>0.11069836552748885</v>
      </c>
      <c r="F15" s="23"/>
      <c r="G15" s="25" t="s">
        <v>41</v>
      </c>
      <c r="H15" s="55">
        <v>206</v>
      </c>
      <c r="I15" s="55">
        <v>211</v>
      </c>
      <c r="J15" s="77">
        <f t="shared" si="2"/>
        <v>5</v>
      </c>
      <c r="K15" s="80">
        <f t="shared" si="3"/>
        <v>2.4271844660194174E-2</v>
      </c>
      <c r="L15" s="118" t="s">
        <v>89</v>
      </c>
    </row>
    <row r="16" spans="1:12" ht="15" customHeight="1" x14ac:dyDescent="0.25">
      <c r="A16" s="24" t="s">
        <v>3</v>
      </c>
      <c r="B16" s="64">
        <v>9587</v>
      </c>
      <c r="C16" s="64">
        <v>9046</v>
      </c>
      <c r="D16" s="128">
        <f t="shared" si="0"/>
        <v>-541</v>
      </c>
      <c r="E16" s="83">
        <f t="shared" si="1"/>
        <v>-5.643058308125587E-2</v>
      </c>
      <c r="F16" s="23"/>
      <c r="G16" s="18" t="s">
        <v>3</v>
      </c>
      <c r="H16" s="55">
        <v>897</v>
      </c>
      <c r="I16" s="55">
        <v>808</v>
      </c>
      <c r="J16" s="76">
        <f t="shared" si="2"/>
        <v>-89</v>
      </c>
      <c r="K16" s="79">
        <f t="shared" si="3"/>
        <v>-9.9219620958751392E-2</v>
      </c>
      <c r="L16" s="118" t="s">
        <v>90</v>
      </c>
    </row>
    <row r="17" spans="1:12" ht="15" x14ac:dyDescent="0.25">
      <c r="A17" s="18" t="s">
        <v>38</v>
      </c>
      <c r="B17" s="64">
        <v>7404</v>
      </c>
      <c r="C17" s="64">
        <v>7926</v>
      </c>
      <c r="D17" s="78">
        <f t="shared" si="0"/>
        <v>522</v>
      </c>
      <c r="E17" s="81">
        <f t="shared" si="1"/>
        <v>7.0502431118314418E-2</v>
      </c>
      <c r="F17" s="23"/>
      <c r="G17" s="18" t="s">
        <v>38</v>
      </c>
      <c r="H17" s="55">
        <v>529</v>
      </c>
      <c r="I17" s="55">
        <v>585</v>
      </c>
      <c r="J17" s="77">
        <f t="shared" si="2"/>
        <v>56</v>
      </c>
      <c r="K17" s="80">
        <f t="shared" si="3"/>
        <v>0.10586011342155009</v>
      </c>
      <c r="L17" s="118" t="s">
        <v>91</v>
      </c>
    </row>
    <row r="18" spans="1:12" ht="15" x14ac:dyDescent="0.25">
      <c r="A18" s="24" t="s">
        <v>23</v>
      </c>
      <c r="B18" s="64">
        <v>66411</v>
      </c>
      <c r="C18" s="64">
        <v>64596</v>
      </c>
      <c r="D18" s="128">
        <f t="shared" si="0"/>
        <v>-1815</v>
      </c>
      <c r="E18" s="83">
        <f t="shared" si="1"/>
        <v>-2.732980982066224E-2</v>
      </c>
      <c r="F18" s="23"/>
      <c r="G18" s="18" t="s">
        <v>23</v>
      </c>
      <c r="H18" s="55">
        <v>2775</v>
      </c>
      <c r="I18" s="55">
        <v>2770</v>
      </c>
      <c r="J18" s="76">
        <f t="shared" si="2"/>
        <v>-5</v>
      </c>
      <c r="K18" s="79">
        <f t="shared" si="3"/>
        <v>-1.8018018018018018E-3</v>
      </c>
      <c r="L18" s="118" t="s">
        <v>92</v>
      </c>
    </row>
    <row r="19" spans="1:12" ht="15.75" customHeight="1" x14ac:dyDescent="0.25">
      <c r="A19" s="24" t="s">
        <v>42</v>
      </c>
      <c r="B19" s="64">
        <f>10026+360</f>
        <v>10386</v>
      </c>
      <c r="C19" s="64">
        <f>10534+180</f>
        <v>10714</v>
      </c>
      <c r="D19" s="78">
        <f t="shared" si="0"/>
        <v>328</v>
      </c>
      <c r="E19" s="81">
        <f t="shared" si="1"/>
        <v>3.1580974388600039E-2</v>
      </c>
      <c r="F19" s="23"/>
      <c r="G19" s="18" t="s">
        <v>42</v>
      </c>
      <c r="H19" s="55">
        <v>932</v>
      </c>
      <c r="I19" s="55">
        <v>1001</v>
      </c>
      <c r="J19" s="77">
        <f t="shared" si="2"/>
        <v>69</v>
      </c>
      <c r="K19" s="80">
        <f t="shared" si="3"/>
        <v>7.4034334763948495E-2</v>
      </c>
      <c r="L19" s="118" t="s">
        <v>93</v>
      </c>
    </row>
    <row r="20" spans="1:12" ht="15" x14ac:dyDescent="0.25">
      <c r="A20" s="24" t="s">
        <v>44</v>
      </c>
      <c r="B20" s="64">
        <v>43</v>
      </c>
      <c r="C20" s="64">
        <v>32</v>
      </c>
      <c r="D20" s="128">
        <f t="shared" si="0"/>
        <v>-11</v>
      </c>
      <c r="E20" s="83">
        <f t="shared" si="1"/>
        <v>-0.2558139534883721</v>
      </c>
      <c r="F20" s="23"/>
      <c r="G20" s="18" t="s">
        <v>68</v>
      </c>
      <c r="H20" s="55">
        <v>156</v>
      </c>
      <c r="I20" s="55">
        <v>145</v>
      </c>
      <c r="J20" s="144">
        <f t="shared" si="2"/>
        <v>-11</v>
      </c>
      <c r="K20" s="145">
        <f t="shared" si="3"/>
        <v>-7.0512820512820512E-2</v>
      </c>
      <c r="L20" s="118" t="s">
        <v>94</v>
      </c>
    </row>
    <row r="21" spans="1:12" ht="15" customHeight="1" x14ac:dyDescent="0.25">
      <c r="A21" s="24" t="s">
        <v>7</v>
      </c>
      <c r="B21" s="64">
        <v>114</v>
      </c>
      <c r="C21" s="64">
        <f>114</f>
        <v>114</v>
      </c>
      <c r="D21" s="169">
        <f>C21-B21</f>
        <v>0</v>
      </c>
      <c r="E21" s="170">
        <f t="shared" si="1"/>
        <v>0</v>
      </c>
      <c r="F21" s="23"/>
      <c r="G21" s="18" t="s">
        <v>24</v>
      </c>
      <c r="H21" s="55">
        <v>4839</v>
      </c>
      <c r="I21" s="55">
        <v>4271</v>
      </c>
      <c r="J21" s="128">
        <f t="shared" si="2"/>
        <v>-568</v>
      </c>
      <c r="K21" s="83">
        <f t="shared" si="3"/>
        <v>-0.11737962388923331</v>
      </c>
      <c r="L21" s="120" t="s">
        <v>97</v>
      </c>
    </row>
    <row r="22" spans="1:12" ht="15" customHeight="1" x14ac:dyDescent="0.25">
      <c r="A22" s="38" t="s">
        <v>24</v>
      </c>
      <c r="B22" s="64">
        <v>406</v>
      </c>
      <c r="C22" s="64">
        <v>304</v>
      </c>
      <c r="D22" s="128">
        <f>C22-B22</f>
        <v>-102</v>
      </c>
      <c r="E22" s="83">
        <f t="shared" ref="E22" si="4">D22/B22</f>
        <v>-0.25123152709359609</v>
      </c>
      <c r="F22" s="107"/>
      <c r="G22" s="146" t="s">
        <v>72</v>
      </c>
      <c r="H22" s="55">
        <v>0</v>
      </c>
      <c r="I22" s="55">
        <v>18</v>
      </c>
      <c r="J22" s="77">
        <f t="shared" ref="J22" si="5">I22-H22</f>
        <v>18</v>
      </c>
      <c r="K22" s="80" t="s">
        <v>46</v>
      </c>
      <c r="L22" s="120" t="s">
        <v>98</v>
      </c>
    </row>
    <row r="23" spans="1:12" ht="15" customHeight="1" x14ac:dyDescent="0.25">
      <c r="A23" s="38" t="s">
        <v>65</v>
      </c>
      <c r="B23" s="122">
        <v>96</v>
      </c>
      <c r="C23" s="123">
        <v>336</v>
      </c>
      <c r="D23" s="78">
        <f t="shared" si="0"/>
        <v>240</v>
      </c>
      <c r="E23" s="81">
        <f>D23/B23</f>
        <v>2.5</v>
      </c>
      <c r="F23" s="107"/>
      <c r="H23" s="55"/>
      <c r="I23" s="55"/>
      <c r="J23" s="76"/>
      <c r="K23" s="79"/>
      <c r="L23" s="121"/>
    </row>
    <row r="24" spans="1:12" ht="14.25" customHeight="1" x14ac:dyDescent="0.25">
      <c r="A24" s="39" t="s">
        <v>32</v>
      </c>
      <c r="B24" s="65">
        <f>SUM(B4:B23)</f>
        <v>321920.5</v>
      </c>
      <c r="C24" s="65">
        <f>SUM(C4:C23)</f>
        <v>318799</v>
      </c>
      <c r="D24" s="171">
        <f>C24-B24</f>
        <v>-3121.5</v>
      </c>
      <c r="E24" s="155">
        <f>D24/B24</f>
        <v>-9.696493388895706E-3</v>
      </c>
      <c r="F24" s="125"/>
      <c r="G24" s="124" t="s">
        <v>69</v>
      </c>
      <c r="H24" s="54">
        <f>SUM(H4:H22)</f>
        <v>25878</v>
      </c>
      <c r="I24" s="54">
        <f>SUM(I4:I22)</f>
        <v>25382</v>
      </c>
      <c r="J24" s="167">
        <f>I24-H24</f>
        <v>-496</v>
      </c>
      <c r="K24" s="168">
        <f>J24/H24</f>
        <v>-1.9166859880979981E-2</v>
      </c>
      <c r="L24" s="73"/>
    </row>
    <row r="25" spans="1:12" ht="14.25" customHeight="1" x14ac:dyDescent="0.25">
      <c r="A25" s="36" t="s">
        <v>15</v>
      </c>
      <c r="B25" s="115">
        <v>15345.5</v>
      </c>
      <c r="C25" s="116">
        <v>14823</v>
      </c>
      <c r="D25" s="158">
        <f t="shared" ref="D25" si="6">C25-B25</f>
        <v>-522.5</v>
      </c>
      <c r="E25" s="159">
        <f t="shared" ref="E25" si="7">D25/B25</f>
        <v>-3.4049069759864457E-2</v>
      </c>
      <c r="F25" s="26"/>
      <c r="G25" s="36" t="s">
        <v>15</v>
      </c>
      <c r="H25" s="67">
        <v>1330</v>
      </c>
      <c r="I25" s="67">
        <v>1285</v>
      </c>
      <c r="J25" s="162">
        <f>I25-H25</f>
        <v>-45</v>
      </c>
      <c r="K25" s="163">
        <f>J25/H25</f>
        <v>-3.3834586466165412E-2</v>
      </c>
      <c r="L25" s="21"/>
    </row>
    <row r="26" spans="1:12" ht="15" x14ac:dyDescent="0.25">
      <c r="A26" s="108" t="s">
        <v>50</v>
      </c>
      <c r="B26" s="49">
        <v>0</v>
      </c>
      <c r="C26" s="49">
        <v>5801</v>
      </c>
      <c r="D26" s="137">
        <f>C26-B26</f>
        <v>5801</v>
      </c>
      <c r="E26" s="135" t="s">
        <v>46</v>
      </c>
      <c r="F26" s="107"/>
      <c r="G26" s="108" t="s">
        <v>50</v>
      </c>
      <c r="H26" s="132">
        <v>0</v>
      </c>
      <c r="I26" s="133">
        <v>435</v>
      </c>
      <c r="J26" s="134">
        <f>I26-H26</f>
        <v>435</v>
      </c>
      <c r="K26" s="135" t="s">
        <v>46</v>
      </c>
      <c r="L26" s="35"/>
    </row>
    <row r="27" spans="1:12" ht="18" customHeight="1" thickBot="1" x14ac:dyDescent="0.3">
      <c r="A27" s="103" t="s">
        <v>45</v>
      </c>
      <c r="B27" s="104">
        <f>SUM(B24:B26)</f>
        <v>337266</v>
      </c>
      <c r="C27" s="104">
        <f>SUM(C24:C26)</f>
        <v>339423</v>
      </c>
      <c r="D27" s="126">
        <f t="shared" ref="D27" si="8">C27-B27</f>
        <v>2157</v>
      </c>
      <c r="E27" s="127">
        <f t="shared" ref="E27" si="9">D27/B27</f>
        <v>6.3955453558911957E-3</v>
      </c>
      <c r="F27" s="27"/>
      <c r="G27" s="37" t="s">
        <v>45</v>
      </c>
      <c r="H27" s="66">
        <f>SUM(H24:H26)</f>
        <v>27208</v>
      </c>
      <c r="I27" s="66">
        <f>SUM(I24:I26)</f>
        <v>27102</v>
      </c>
      <c r="J27" s="149">
        <f t="shared" si="2"/>
        <v>-106</v>
      </c>
      <c r="K27" s="150">
        <f t="shared" si="3"/>
        <v>-3.8959129667744783E-3</v>
      </c>
      <c r="L27" s="209" t="s">
        <v>71</v>
      </c>
    </row>
    <row r="28" spans="1:12" ht="14.25" customHeight="1" thickTop="1" x14ac:dyDescent="0.2">
      <c r="A28" s="202"/>
      <c r="B28" s="203"/>
      <c r="C28" s="203"/>
      <c r="D28" s="203"/>
      <c r="E28" s="203"/>
      <c r="F28" s="28"/>
      <c r="G28" s="206"/>
      <c r="H28" s="207"/>
      <c r="I28" s="207"/>
      <c r="J28" s="207"/>
      <c r="K28" s="207"/>
      <c r="L28" s="210"/>
    </row>
    <row r="29" spans="1:12" s="13" customFormat="1" ht="13.5" customHeight="1" x14ac:dyDescent="0.2">
      <c r="A29" s="199" t="s">
        <v>10</v>
      </c>
      <c r="B29" s="200"/>
      <c r="C29" s="200"/>
      <c r="D29" s="200"/>
      <c r="E29" s="200"/>
      <c r="F29" s="17"/>
      <c r="G29" s="208"/>
      <c r="H29" s="208"/>
      <c r="I29" s="208"/>
      <c r="J29" s="208"/>
      <c r="K29" s="208"/>
      <c r="L29" s="211"/>
    </row>
    <row r="30" spans="1:12" ht="10.5" customHeight="1" thickBot="1" x14ac:dyDescent="0.25">
      <c r="A30" s="199"/>
      <c r="B30" s="201"/>
      <c r="C30" s="201"/>
      <c r="D30" s="201"/>
      <c r="E30" s="201"/>
      <c r="F30" s="17"/>
      <c r="G30" s="208"/>
      <c r="H30" s="208"/>
      <c r="I30" s="208"/>
      <c r="J30" s="208"/>
      <c r="K30" s="208"/>
      <c r="L30" s="212" t="s">
        <v>51</v>
      </c>
    </row>
    <row r="31" spans="1:12" s="13" customFormat="1" ht="13.5" customHeight="1" thickBot="1" x14ac:dyDescent="0.25">
      <c r="A31" s="85" t="s">
        <v>63</v>
      </c>
      <c r="B31" s="19">
        <v>2018</v>
      </c>
      <c r="C31" s="19">
        <v>2019</v>
      </c>
      <c r="D31" s="101" t="s">
        <v>0</v>
      </c>
      <c r="E31" s="102" t="s">
        <v>1</v>
      </c>
      <c r="F31" s="28"/>
      <c r="G31" s="69" t="s">
        <v>61</v>
      </c>
      <c r="H31" s="19">
        <v>2018</v>
      </c>
      <c r="I31" s="19">
        <v>2019</v>
      </c>
      <c r="J31" s="19" t="s">
        <v>0</v>
      </c>
      <c r="K31" s="20" t="s">
        <v>1</v>
      </c>
      <c r="L31" s="213"/>
    </row>
    <row r="32" spans="1:12" ht="17.25" customHeight="1" x14ac:dyDescent="0.25">
      <c r="A32" s="88" t="s">
        <v>27</v>
      </c>
      <c r="B32" s="100">
        <f>3016+175</f>
        <v>3191</v>
      </c>
      <c r="C32" s="68">
        <f>2795+182</f>
        <v>2977</v>
      </c>
      <c r="D32" s="84">
        <f>C32-B32</f>
        <v>-214</v>
      </c>
      <c r="E32" s="131">
        <f>D32/B32</f>
        <v>-6.706361642118458E-2</v>
      </c>
      <c r="F32" s="29"/>
      <c r="G32" s="51" t="s">
        <v>8</v>
      </c>
      <c r="H32" s="90">
        <f>2737+3484+3850+6026+123+98+395</f>
        <v>16713</v>
      </c>
      <c r="I32" s="90">
        <f>2510+3318+3673+5983+127+104+340</f>
        <v>16055</v>
      </c>
      <c r="J32" s="128">
        <f>I32-H32</f>
        <v>-658</v>
      </c>
      <c r="K32" s="82">
        <f>J32/H32</f>
        <v>-3.9370549871357623E-2</v>
      </c>
      <c r="L32" s="213"/>
    </row>
    <row r="33" spans="1:12" s="3" customFormat="1" ht="16.5" customHeight="1" thickBot="1" x14ac:dyDescent="0.3">
      <c r="A33" s="89" t="s">
        <v>6</v>
      </c>
      <c r="B33" s="100">
        <v>3767</v>
      </c>
      <c r="C33" s="68">
        <v>3608</v>
      </c>
      <c r="D33" s="84">
        <f t="shared" ref="D33:D35" si="10">C33-B33</f>
        <v>-159</v>
      </c>
      <c r="E33" s="131">
        <f t="shared" ref="E33:E35" si="11">D33/B33</f>
        <v>-4.2208654101406957E-2</v>
      </c>
      <c r="F33" s="29"/>
      <c r="G33" s="24" t="s">
        <v>9</v>
      </c>
      <c r="H33" s="142">
        <f>217352+433+2336</f>
        <v>220121</v>
      </c>
      <c r="I33" s="91">
        <f>209784.5+460+2019</f>
        <v>212263.5</v>
      </c>
      <c r="J33" s="128">
        <f>I33-H33</f>
        <v>-7857.5</v>
      </c>
      <c r="K33" s="82">
        <f>J33/H33</f>
        <v>-3.5696276139032625E-2</v>
      </c>
      <c r="L33" s="214"/>
    </row>
    <row r="34" spans="1:12" ht="15" customHeight="1" x14ac:dyDescent="0.25">
      <c r="A34" s="89" t="s">
        <v>28</v>
      </c>
      <c r="B34" s="100">
        <v>4110</v>
      </c>
      <c r="C34" s="68">
        <v>3944</v>
      </c>
      <c r="D34" s="84">
        <f t="shared" si="10"/>
        <v>-166</v>
      </c>
      <c r="E34" s="131">
        <f t="shared" si="11"/>
        <v>-4.0389294403892946E-2</v>
      </c>
      <c r="F34" s="29"/>
      <c r="G34" s="52" t="s">
        <v>11</v>
      </c>
      <c r="H34" s="92">
        <f>H32+50+(184+2106+269+204+2855)</f>
        <v>22381</v>
      </c>
      <c r="I34" s="92">
        <f>I32+60+147+2166+288+210+2886</f>
        <v>21812</v>
      </c>
      <c r="J34" s="156">
        <f>I34-H34</f>
        <v>-569</v>
      </c>
      <c r="K34" s="157">
        <f>J34/H34</f>
        <v>-2.5423350163084758E-2</v>
      </c>
      <c r="L34" s="187" t="s">
        <v>76</v>
      </c>
    </row>
    <row r="35" spans="1:12" ht="15.75" customHeight="1" thickBot="1" x14ac:dyDescent="0.3">
      <c r="A35" s="89" t="s">
        <v>29</v>
      </c>
      <c r="B35" s="100">
        <v>6423</v>
      </c>
      <c r="C35" s="68">
        <v>6434</v>
      </c>
      <c r="D35" s="113">
        <f t="shared" si="10"/>
        <v>11</v>
      </c>
      <c r="E35" s="114">
        <f t="shared" si="11"/>
        <v>1.7125953604234781E-3</v>
      </c>
      <c r="F35" s="29"/>
      <c r="G35" s="53" t="s">
        <v>12</v>
      </c>
      <c r="H35" s="143">
        <f>308.5+280935</f>
        <v>281243.5</v>
      </c>
      <c r="I35" s="93">
        <f>297.5+275362</f>
        <v>275659.5</v>
      </c>
      <c r="J35" s="160">
        <f>I35-H35</f>
        <v>-5584</v>
      </c>
      <c r="K35" s="161">
        <f>J35/H35</f>
        <v>-1.9854681085962875E-2</v>
      </c>
      <c r="L35" s="188"/>
    </row>
    <row r="36" spans="1:12" ht="15.75" thickBot="1" x14ac:dyDescent="0.3">
      <c r="A36" s="47" t="s">
        <v>35</v>
      </c>
      <c r="B36" s="54">
        <f>SUM(B32:B35)</f>
        <v>17491</v>
      </c>
      <c r="C36" s="54">
        <f>SUM(C32:C35)</f>
        <v>16963</v>
      </c>
      <c r="D36" s="154">
        <f t="shared" ref="D36:D38" si="12">C36-B36</f>
        <v>-528</v>
      </c>
      <c r="E36" s="155">
        <f t="shared" ref="E36:E38" si="13">D36/B36</f>
        <v>-3.0186953290263566E-2</v>
      </c>
      <c r="F36" s="29"/>
      <c r="G36" s="45"/>
      <c r="H36" s="94"/>
      <c r="I36" s="99"/>
      <c r="J36" s="106"/>
      <c r="K36" s="105"/>
      <c r="L36" s="188"/>
    </row>
    <row r="37" spans="1:12" ht="16.5" customHeight="1" thickBot="1" x14ac:dyDescent="0.3">
      <c r="A37" s="46" t="s">
        <v>31</v>
      </c>
      <c r="B37" s="55">
        <f>98+489</f>
        <v>587</v>
      </c>
      <c r="C37" s="55">
        <f>105+394</f>
        <v>499</v>
      </c>
      <c r="D37" s="84">
        <f t="shared" si="12"/>
        <v>-88</v>
      </c>
      <c r="E37" s="83">
        <f t="shared" si="13"/>
        <v>-0.14991482112436116</v>
      </c>
      <c r="F37" s="29"/>
      <c r="G37" s="70" t="s">
        <v>62</v>
      </c>
      <c r="H37" s="19">
        <v>2018</v>
      </c>
      <c r="I37" s="19">
        <v>2019</v>
      </c>
      <c r="J37" s="71" t="s">
        <v>0</v>
      </c>
      <c r="K37" s="72" t="s">
        <v>1</v>
      </c>
      <c r="L37" s="188"/>
    </row>
    <row r="38" spans="1:12" ht="15" customHeight="1" x14ac:dyDescent="0.25">
      <c r="A38" s="47" t="s">
        <v>7</v>
      </c>
      <c r="B38" s="54">
        <f>85+227+3833</f>
        <v>4145</v>
      </c>
      <c r="C38" s="54">
        <f>82+191+3826</f>
        <v>4099</v>
      </c>
      <c r="D38" s="154">
        <f t="shared" si="12"/>
        <v>-46</v>
      </c>
      <c r="E38" s="155">
        <f t="shared" si="13"/>
        <v>-1.1097708082026538E-2</v>
      </c>
      <c r="F38" s="29"/>
      <c r="G38" s="42" t="s">
        <v>8</v>
      </c>
      <c r="H38" s="95">
        <f>279+283+260+397+52+0+94</f>
        <v>1365</v>
      </c>
      <c r="I38" s="95">
        <f>285+290+271+451+55+1+54</f>
        <v>1407</v>
      </c>
      <c r="J38" s="86">
        <f>I38-H38</f>
        <v>42</v>
      </c>
      <c r="K38" s="87">
        <f>J38/H38</f>
        <v>3.0769230769230771E-2</v>
      </c>
      <c r="L38" s="189"/>
    </row>
    <row r="39" spans="1:12" ht="14.25" customHeight="1" x14ac:dyDescent="0.25">
      <c r="A39" s="138" t="s">
        <v>66</v>
      </c>
      <c r="B39" s="54">
        <v>2730</v>
      </c>
      <c r="C39" s="54">
        <v>2833</v>
      </c>
      <c r="D39" s="111">
        <f>C39-B39</f>
        <v>103</v>
      </c>
      <c r="E39" s="112">
        <f>D39/B39</f>
        <v>3.7728937728937727E-2</v>
      </c>
      <c r="F39" s="17"/>
      <c r="G39" s="18" t="s">
        <v>9</v>
      </c>
      <c r="H39" s="91">
        <f>17903+223</f>
        <v>18126</v>
      </c>
      <c r="I39" s="96">
        <f>19519+4+238</f>
        <v>19761</v>
      </c>
      <c r="J39" s="86">
        <f>I39-H39</f>
        <v>1635</v>
      </c>
      <c r="K39" s="87">
        <f>J39/H39</f>
        <v>9.0201919894074806E-2</v>
      </c>
      <c r="L39" s="185" t="s">
        <v>75</v>
      </c>
    </row>
    <row r="40" spans="1:12" ht="16.5" customHeight="1" x14ac:dyDescent="0.25">
      <c r="A40" s="47" t="s">
        <v>67</v>
      </c>
      <c r="B40" s="140">
        <v>685</v>
      </c>
      <c r="C40" s="141">
        <v>719</v>
      </c>
      <c r="D40" s="111">
        <f>C40-B40</f>
        <v>34</v>
      </c>
      <c r="E40" s="112">
        <f>D40/B40</f>
        <v>4.9635036496350364E-2</v>
      </c>
      <c r="F40" s="17"/>
      <c r="G40" s="43" t="s">
        <v>13</v>
      </c>
      <c r="H40" s="97">
        <f>H38+45+(43+624+416+26+978)</f>
        <v>3497</v>
      </c>
      <c r="I40" s="97">
        <f>I38+45+(44+667+431+36+940)</f>
        <v>3570</v>
      </c>
      <c r="J40" s="40">
        <f>I40-H40</f>
        <v>73</v>
      </c>
      <c r="K40" s="87">
        <f t="shared" ref="K40:K41" si="14">J40/H40</f>
        <v>2.087503574492422E-2</v>
      </c>
      <c r="L40" s="186"/>
    </row>
    <row r="41" spans="1:12" ht="15.75" customHeight="1" thickBot="1" x14ac:dyDescent="0.3">
      <c r="A41" s="48" t="s">
        <v>30</v>
      </c>
      <c r="B41" s="139">
        <f>10+230</f>
        <v>240</v>
      </c>
      <c r="C41" s="139">
        <f>23+246</f>
        <v>269</v>
      </c>
      <c r="D41" s="129">
        <f>C41-B41</f>
        <v>29</v>
      </c>
      <c r="E41" s="130">
        <f>D41/B41</f>
        <v>0.12083333333333333</v>
      </c>
      <c r="F41" s="17"/>
      <c r="G41" s="44" t="s">
        <v>14</v>
      </c>
      <c r="H41" s="93">
        <f>331+40346</f>
        <v>40677</v>
      </c>
      <c r="I41" s="98">
        <f>338+42801.5</f>
        <v>43139.5</v>
      </c>
      <c r="J41" s="41">
        <f>I41-H41</f>
        <v>2462.5</v>
      </c>
      <c r="K41" s="87">
        <f t="shared" si="14"/>
        <v>6.0537896108365907E-2</v>
      </c>
      <c r="L41" s="186"/>
    </row>
    <row r="42" spans="1:12" ht="12" customHeight="1" thickBot="1" x14ac:dyDescent="0.25">
      <c r="A42" s="172" t="s">
        <v>64</v>
      </c>
      <c r="B42" s="172"/>
      <c r="C42" s="172"/>
      <c r="D42" s="172"/>
      <c r="E42" s="172"/>
      <c r="F42" s="17"/>
      <c r="G42" s="5"/>
      <c r="H42" s="9"/>
      <c r="I42" s="9"/>
      <c r="L42" s="166" t="s">
        <v>60</v>
      </c>
    </row>
    <row r="43" spans="1:12" ht="13.5" customHeight="1" thickBot="1" x14ac:dyDescent="0.25">
      <c r="A43" s="173"/>
      <c r="B43" s="173"/>
      <c r="C43" s="173"/>
      <c r="D43" s="173"/>
      <c r="E43" s="173"/>
      <c r="F43" s="17"/>
      <c r="G43" s="174" t="s">
        <v>26</v>
      </c>
      <c r="H43" s="175"/>
      <c r="I43" s="175"/>
      <c r="J43" s="19">
        <v>2017</v>
      </c>
      <c r="K43" s="19">
        <v>2018</v>
      </c>
      <c r="L43" s="178"/>
    </row>
    <row r="44" spans="1:12" ht="12.75" customHeight="1" x14ac:dyDescent="0.25">
      <c r="A44" s="173"/>
      <c r="B44" s="173"/>
      <c r="C44" s="173"/>
      <c r="D44" s="173"/>
      <c r="E44" s="173"/>
      <c r="F44" s="30"/>
      <c r="G44" s="192" t="s">
        <v>19</v>
      </c>
      <c r="H44" s="193"/>
      <c r="I44" s="193"/>
      <c r="J44" s="33">
        <f>H38/H24</f>
        <v>5.2747507535358222E-2</v>
      </c>
      <c r="K44" s="34">
        <f>I38/I24</f>
        <v>5.5432984004412579E-2</v>
      </c>
      <c r="L44" s="179"/>
    </row>
    <row r="45" spans="1:12" ht="12.75" customHeight="1" x14ac:dyDescent="0.25">
      <c r="A45" s="173"/>
      <c r="B45" s="173"/>
      <c r="C45" s="173"/>
      <c r="D45" s="173"/>
      <c r="E45" s="173"/>
      <c r="F45" s="30"/>
      <c r="G45" s="190" t="s">
        <v>16</v>
      </c>
      <c r="H45" s="191"/>
      <c r="I45" s="191"/>
      <c r="J45" s="33">
        <f>H39/B24</f>
        <v>5.6305827059786498E-2</v>
      </c>
      <c r="K45" s="11">
        <f>I39/C24</f>
        <v>6.1985765325487219E-2</v>
      </c>
      <c r="L45" s="180"/>
    </row>
    <row r="46" spans="1:12" ht="12" customHeight="1" x14ac:dyDescent="0.25">
      <c r="A46" s="173"/>
      <c r="B46" s="173"/>
      <c r="C46" s="173"/>
      <c r="D46" s="173"/>
      <c r="E46" s="173"/>
      <c r="F46" s="31"/>
      <c r="G46" s="176" t="s">
        <v>17</v>
      </c>
      <c r="H46" s="177"/>
      <c r="I46" s="177"/>
      <c r="J46" s="33">
        <f>H40/H24</f>
        <v>0.13513409073344154</v>
      </c>
      <c r="K46" s="11">
        <f>I40/I24</f>
        <v>0.14065085493656923</v>
      </c>
      <c r="L46" s="181" t="s">
        <v>43</v>
      </c>
    </row>
    <row r="47" spans="1:12" ht="3.75" hidden="1" customHeight="1" x14ac:dyDescent="0.25">
      <c r="A47" s="136"/>
      <c r="B47" s="136"/>
      <c r="C47" s="136"/>
      <c r="D47" s="136"/>
      <c r="E47" s="136"/>
      <c r="F47" s="31"/>
      <c r="G47" s="176" t="s">
        <v>18</v>
      </c>
      <c r="H47" s="177"/>
      <c r="I47" s="177"/>
      <c r="J47" s="33">
        <f t="shared" ref="J47" si="15">H41/H27</f>
        <v>1.4950382240517495</v>
      </c>
      <c r="K47" s="11">
        <f>I41/C24</f>
        <v>0.13531880589336856</v>
      </c>
      <c r="L47" s="182"/>
    </row>
    <row r="48" spans="1:12" ht="15" customHeight="1" thickBot="1" x14ac:dyDescent="0.3">
      <c r="A48" s="32" t="s">
        <v>40</v>
      </c>
      <c r="F48" s="17"/>
      <c r="G48" s="183" t="s">
        <v>18</v>
      </c>
      <c r="H48" s="184"/>
      <c r="I48" s="184"/>
      <c r="J48" s="33">
        <f>H41/B24</f>
        <v>0.1263572838635626</v>
      </c>
      <c r="K48" s="12">
        <f>I41/C24</f>
        <v>0.13531880589336856</v>
      </c>
      <c r="L48" s="182"/>
    </row>
    <row r="49" spans="12:12" x14ac:dyDescent="0.2">
      <c r="L49" s="110" t="s">
        <v>79</v>
      </c>
    </row>
  </sheetData>
  <mergeCells count="21">
    <mergeCell ref="B1:D1"/>
    <mergeCell ref="A2:C2"/>
    <mergeCell ref="G2:J2"/>
    <mergeCell ref="A29:E29"/>
    <mergeCell ref="A30:E30"/>
    <mergeCell ref="A28:E28"/>
    <mergeCell ref="G1:L1"/>
    <mergeCell ref="G28:K30"/>
    <mergeCell ref="L27:L29"/>
    <mergeCell ref="L30:L33"/>
    <mergeCell ref="L39:L41"/>
    <mergeCell ref="L34:L38"/>
    <mergeCell ref="G45:I45"/>
    <mergeCell ref="G44:I44"/>
    <mergeCell ref="G47:I47"/>
    <mergeCell ref="A42:E46"/>
    <mergeCell ref="G43:I43"/>
    <mergeCell ref="G46:I46"/>
    <mergeCell ref="L43:L45"/>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5" t="s">
        <v>56</v>
      </c>
      <c r="C2" s="45" t="s">
        <v>57</v>
      </c>
      <c r="E2" s="45" t="s">
        <v>58</v>
      </c>
      <c r="F2" s="45" t="s">
        <v>59</v>
      </c>
    </row>
    <row r="3" spans="1:6" x14ac:dyDescent="0.2">
      <c r="A3" t="s">
        <v>52</v>
      </c>
      <c r="B3" s="109">
        <f>IF(SUM('Sheet 1'!B4:B23)='Sheet 1'!B24,0,1)</f>
        <v>0</v>
      </c>
      <c r="C3" s="109">
        <f>IF(SUM('Sheet 1'!C4:C23)='Sheet 1'!C24,0,1)</f>
        <v>0</v>
      </c>
      <c r="D3" s="109"/>
      <c r="E3" s="109">
        <f>IF(SUM('Sheet 1'!H4:H22)='Sheet 1'!H24,0,1)</f>
        <v>0</v>
      </c>
      <c r="F3" s="109">
        <f>IF(SUM('Sheet 1'!I4:I22)='Sheet 1'!I24,0,1)</f>
        <v>0</v>
      </c>
    </row>
    <row r="4" spans="1:6" x14ac:dyDescent="0.2">
      <c r="A4" t="s">
        <v>53</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54</v>
      </c>
      <c r="B6" s="109"/>
      <c r="C6" s="109"/>
      <c r="D6" s="109"/>
      <c r="E6" s="109">
        <f>IF(SUM('Sheet 1'!B36:B41)='Sheet 1'!H24,0,1)</f>
        <v>0</v>
      </c>
      <c r="F6" s="109">
        <f>IF(SUM('Sheet 1'!C36:C41)='Sheet 1'!I24,0,1)</f>
        <v>0</v>
      </c>
    </row>
    <row r="7" spans="1:6" x14ac:dyDescent="0.2">
      <c r="B7" s="109"/>
      <c r="C7" s="109"/>
      <c r="D7" s="109"/>
      <c r="E7" s="109"/>
      <c r="F7" s="109"/>
    </row>
    <row r="8" spans="1:6" x14ac:dyDescent="0.2">
      <c r="A8" t="s">
        <v>55</v>
      </c>
      <c r="B8" s="109">
        <f>IF(SUM('Sheet 1'!H35,'Sheet 1'!H41)='Sheet 1'!B24,0,1)</f>
        <v>0</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2018-12-18T23:00:09Z</cp:lastPrinted>
  <dcterms:created xsi:type="dcterms:W3CDTF">2005-01-11T16:04:59Z</dcterms:created>
  <dcterms:modified xsi:type="dcterms:W3CDTF">2019-01-07T19:26:15Z</dcterms:modified>
</cp:coreProperties>
</file>